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77" i="1"/>
  <c r="C76"/>
  <c r="C75"/>
  <c r="C74"/>
  <c r="C73"/>
  <c r="D72"/>
  <c r="E72"/>
  <c r="F72"/>
  <c r="G72"/>
  <c r="H72"/>
  <c r="I72"/>
  <c r="J72"/>
  <c r="K72"/>
  <c r="L72"/>
  <c r="M72"/>
  <c r="N72"/>
  <c r="O72"/>
  <c r="P72"/>
  <c r="Q72"/>
  <c r="R72"/>
  <c r="S72"/>
  <c r="T72"/>
  <c r="C72"/>
  <c r="D71"/>
  <c r="E71"/>
  <c r="C71"/>
  <c r="G71"/>
  <c r="H71"/>
  <c r="I71"/>
  <c r="J71"/>
  <c r="K71"/>
  <c r="L71"/>
  <c r="M71"/>
  <c r="N71"/>
  <c r="O71"/>
  <c r="P71"/>
  <c r="Q71"/>
  <c r="R71"/>
  <c r="S71"/>
  <c r="T71"/>
  <c r="F71"/>
  <c r="G70"/>
  <c r="H70"/>
  <c r="I70"/>
  <c r="J70"/>
  <c r="K70"/>
  <c r="L70"/>
  <c r="M70"/>
  <c r="N70"/>
  <c r="O70"/>
  <c r="P70"/>
  <c r="Q70"/>
  <c r="R70"/>
  <c r="S70"/>
  <c r="T70"/>
  <c r="F70"/>
  <c r="G69"/>
  <c r="H69"/>
  <c r="I69"/>
  <c r="J69"/>
  <c r="K69"/>
  <c r="L69"/>
  <c r="M69"/>
  <c r="N69"/>
  <c r="O69"/>
  <c r="P69"/>
  <c r="Q69"/>
  <c r="R69"/>
  <c r="S69"/>
  <c r="T69"/>
  <c r="F69"/>
  <c r="E70"/>
  <c r="D70"/>
  <c r="C70"/>
  <c r="C65"/>
  <c r="C64"/>
  <c r="U57"/>
  <c r="D57"/>
  <c r="E57"/>
  <c r="F57"/>
  <c r="G57"/>
  <c r="H57"/>
  <c r="I57"/>
  <c r="J57"/>
  <c r="K57"/>
  <c r="L57"/>
  <c r="M57"/>
  <c r="N57"/>
  <c r="O57"/>
  <c r="P57"/>
  <c r="Q57"/>
  <c r="R57"/>
  <c r="S57"/>
  <c r="T57"/>
  <c r="C57"/>
  <c r="C42"/>
  <c r="K42"/>
  <c r="L42"/>
  <c r="M42"/>
  <c r="N42"/>
  <c r="O42"/>
  <c r="P42"/>
  <c r="Q42"/>
  <c r="R42"/>
  <c r="S42"/>
  <c r="T42"/>
  <c r="G56"/>
  <c r="H56"/>
  <c r="I56"/>
  <c r="J56"/>
  <c r="K56"/>
  <c r="L56"/>
  <c r="M56"/>
  <c r="N56"/>
  <c r="O56"/>
  <c r="P56"/>
  <c r="Q56"/>
  <c r="R56"/>
  <c r="S56"/>
  <c r="T56"/>
  <c r="F56"/>
  <c r="U56" s="1"/>
  <c r="F4"/>
  <c r="T38"/>
  <c r="T37"/>
  <c r="T36"/>
  <c r="T34"/>
  <c r="T33"/>
  <c r="T32"/>
  <c r="T31"/>
  <c r="T30"/>
  <c r="T29"/>
  <c r="T12"/>
  <c r="T39" s="1"/>
  <c r="T4"/>
  <c r="D42"/>
  <c r="E42"/>
  <c r="F42"/>
  <c r="F6" s="1"/>
  <c r="G42"/>
  <c r="H42"/>
  <c r="I42"/>
  <c r="J42"/>
  <c r="G4"/>
  <c r="G6" s="1"/>
  <c r="H4"/>
  <c r="H6" s="1"/>
  <c r="I4"/>
  <c r="I6" s="1"/>
  <c r="J4"/>
  <c r="J6" s="1"/>
  <c r="K4"/>
  <c r="K6" s="1"/>
  <c r="L4"/>
  <c r="L6" s="1"/>
  <c r="M4"/>
  <c r="M6" s="1"/>
  <c r="N4"/>
  <c r="N6" s="1"/>
  <c r="O4"/>
  <c r="O6" s="1"/>
  <c r="P4"/>
  <c r="P6" s="1"/>
  <c r="Q4"/>
  <c r="Q6" s="1"/>
  <c r="R4"/>
  <c r="R6" s="1"/>
  <c r="S4"/>
  <c r="S6" s="1"/>
  <c r="H38"/>
  <c r="I38"/>
  <c r="J38"/>
  <c r="K38"/>
  <c r="L38"/>
  <c r="M38"/>
  <c r="N38"/>
  <c r="O38"/>
  <c r="P38"/>
  <c r="Q38"/>
  <c r="R38"/>
  <c r="S38"/>
  <c r="G38"/>
  <c r="E37"/>
  <c r="F37"/>
  <c r="G37"/>
  <c r="H37"/>
  <c r="I37"/>
  <c r="J37"/>
  <c r="K37"/>
  <c r="L37"/>
  <c r="M37"/>
  <c r="N37"/>
  <c r="O37"/>
  <c r="P37"/>
  <c r="Q37"/>
  <c r="R37"/>
  <c r="S37"/>
  <c r="D37"/>
  <c r="E36"/>
  <c r="F36"/>
  <c r="G36"/>
  <c r="H36"/>
  <c r="I36"/>
  <c r="J36"/>
  <c r="K36"/>
  <c r="L36"/>
  <c r="M36"/>
  <c r="N36"/>
  <c r="O36"/>
  <c r="P36"/>
  <c r="Q36"/>
  <c r="R36"/>
  <c r="S36"/>
  <c r="D36"/>
  <c r="G34"/>
  <c r="H34"/>
  <c r="I34"/>
  <c r="J34"/>
  <c r="K34"/>
  <c r="L34"/>
  <c r="M34"/>
  <c r="N34"/>
  <c r="O34"/>
  <c r="P34"/>
  <c r="Q34"/>
  <c r="R34"/>
  <c r="S34"/>
  <c r="F34"/>
  <c r="G33"/>
  <c r="H33"/>
  <c r="I33"/>
  <c r="J33"/>
  <c r="K33"/>
  <c r="L33"/>
  <c r="M33"/>
  <c r="N33"/>
  <c r="O33"/>
  <c r="P33"/>
  <c r="Q33"/>
  <c r="R33"/>
  <c r="S33"/>
  <c r="F33"/>
  <c r="G32"/>
  <c r="H32"/>
  <c r="I32"/>
  <c r="J32"/>
  <c r="K32"/>
  <c r="L32"/>
  <c r="M32"/>
  <c r="N32"/>
  <c r="O32"/>
  <c r="P32"/>
  <c r="Q32"/>
  <c r="R32"/>
  <c r="S32"/>
  <c r="F32"/>
  <c r="G31"/>
  <c r="H31"/>
  <c r="I31"/>
  <c r="J31"/>
  <c r="K31"/>
  <c r="L31"/>
  <c r="M31"/>
  <c r="N31"/>
  <c r="O31"/>
  <c r="P31"/>
  <c r="Q31"/>
  <c r="R31"/>
  <c r="S31"/>
  <c r="F31"/>
  <c r="E31"/>
  <c r="D31"/>
  <c r="E30"/>
  <c r="F30"/>
  <c r="G30"/>
  <c r="H30"/>
  <c r="I30"/>
  <c r="J30"/>
  <c r="K30"/>
  <c r="L30"/>
  <c r="M30"/>
  <c r="N30"/>
  <c r="O30"/>
  <c r="P30"/>
  <c r="Q30"/>
  <c r="R30"/>
  <c r="S30"/>
  <c r="D30"/>
  <c r="S29"/>
  <c r="L29"/>
  <c r="G29"/>
  <c r="H29"/>
  <c r="I29"/>
  <c r="J29"/>
  <c r="K29"/>
  <c r="M29"/>
  <c r="N29"/>
  <c r="O29"/>
  <c r="P29"/>
  <c r="Q29"/>
  <c r="R29"/>
  <c r="F29"/>
  <c r="E29"/>
  <c r="D29"/>
  <c r="C20"/>
  <c r="C27"/>
  <c r="C26"/>
  <c r="C25"/>
  <c r="C24"/>
  <c r="C23"/>
  <c r="C22"/>
  <c r="C21"/>
  <c r="C19"/>
  <c r="C18"/>
  <c r="Q16"/>
  <c r="J16"/>
  <c r="C16"/>
  <c r="Q15"/>
  <c r="S15"/>
  <c r="O15"/>
  <c r="M15"/>
  <c r="K15"/>
  <c r="I15"/>
  <c r="G15"/>
  <c r="E15"/>
  <c r="C15"/>
  <c r="S14"/>
  <c r="Q14"/>
  <c r="O14"/>
  <c r="M14"/>
  <c r="K14"/>
  <c r="I14"/>
  <c r="G14"/>
  <c r="E14"/>
  <c r="C14"/>
  <c r="C13"/>
  <c r="D12"/>
  <c r="D39" s="1"/>
  <c r="D58" s="1"/>
  <c r="E12"/>
  <c r="E39" s="1"/>
  <c r="E58" s="1"/>
  <c r="F12"/>
  <c r="F39" s="1"/>
  <c r="F40" s="1"/>
  <c r="G12"/>
  <c r="G39" s="1"/>
  <c r="G40" s="1"/>
  <c r="H12"/>
  <c r="H39" s="1"/>
  <c r="H40" s="1"/>
  <c r="I12"/>
  <c r="I39" s="1"/>
  <c r="I40" s="1"/>
  <c r="J12"/>
  <c r="J39" s="1"/>
  <c r="J40" s="1"/>
  <c r="K12"/>
  <c r="K39" s="1"/>
  <c r="K40" s="1"/>
  <c r="L12"/>
  <c r="L39" s="1"/>
  <c r="L40" s="1"/>
  <c r="M12"/>
  <c r="M39" s="1"/>
  <c r="M40" s="1"/>
  <c r="N12"/>
  <c r="N39" s="1"/>
  <c r="N40" s="1"/>
  <c r="O12"/>
  <c r="O39" s="1"/>
  <c r="O40" s="1"/>
  <c r="P12"/>
  <c r="P39" s="1"/>
  <c r="P40" s="1"/>
  <c r="Q12"/>
  <c r="Q39" s="1"/>
  <c r="Q40" s="1"/>
  <c r="R12"/>
  <c r="R39" s="1"/>
  <c r="R40" s="1"/>
  <c r="S12"/>
  <c r="S39" s="1"/>
  <c r="S40" s="1"/>
  <c r="C12"/>
  <c r="C9"/>
  <c r="C11"/>
  <c r="C10"/>
  <c r="U69" l="1"/>
  <c r="E59"/>
  <c r="S58"/>
  <c r="Q58"/>
  <c r="O58"/>
  <c r="M58"/>
  <c r="K58"/>
  <c r="I58"/>
  <c r="I59" s="1"/>
  <c r="G58"/>
  <c r="G59" s="1"/>
  <c r="S59"/>
  <c r="Q59"/>
  <c r="O59"/>
  <c r="M59"/>
  <c r="K59"/>
  <c r="D59"/>
  <c r="T58"/>
  <c r="R58"/>
  <c r="R59" s="1"/>
  <c r="P58"/>
  <c r="N58"/>
  <c r="N59" s="1"/>
  <c r="L58"/>
  <c r="J58"/>
  <c r="J59" s="1"/>
  <c r="H58"/>
  <c r="H59" s="1"/>
  <c r="T59"/>
  <c r="P59"/>
  <c r="L59"/>
  <c r="F58"/>
  <c r="F59" s="1"/>
  <c r="C60" s="1"/>
  <c r="T41"/>
  <c r="T43" s="1"/>
  <c r="C39"/>
  <c r="C58" s="1"/>
  <c r="C59" s="1"/>
  <c r="T6"/>
  <c r="U6" s="1"/>
  <c r="T5"/>
  <c r="E40"/>
  <c r="E41"/>
  <c r="E43" s="1"/>
  <c r="S41"/>
  <c r="S43" s="1"/>
  <c r="Q41"/>
  <c r="Q43" s="1"/>
  <c r="O41"/>
  <c r="O43" s="1"/>
  <c r="M41"/>
  <c r="M43" s="1"/>
  <c r="K41"/>
  <c r="K43" s="1"/>
  <c r="I41"/>
  <c r="I43" s="1"/>
  <c r="G41"/>
  <c r="G43" s="1"/>
  <c r="C41"/>
  <c r="C40"/>
  <c r="D41"/>
  <c r="D43" s="1"/>
  <c r="D40"/>
  <c r="F41"/>
  <c r="F43" s="1"/>
  <c r="R41"/>
  <c r="R43" s="1"/>
  <c r="P41"/>
  <c r="P43" s="1"/>
  <c r="N41"/>
  <c r="N43" s="1"/>
  <c r="L41"/>
  <c r="L43" s="1"/>
  <c r="J41"/>
  <c r="J43" s="1"/>
  <c r="H41"/>
  <c r="H43" s="1"/>
  <c r="U70" l="1"/>
  <c r="C61"/>
  <c r="C63" s="1"/>
  <c r="C44"/>
  <c r="C46"/>
  <c r="U40"/>
  <c r="C43"/>
  <c r="C48" l="1"/>
  <c r="C62"/>
  <c r="C45"/>
  <c r="C49"/>
  <c r="C47"/>
</calcChain>
</file>

<file path=xl/sharedStrings.xml><?xml version="1.0" encoding="utf-8"?>
<sst xmlns="http://schemas.openxmlformats.org/spreadsheetml/2006/main" count="81" uniqueCount="59">
  <si>
    <t>A.</t>
  </si>
  <si>
    <t>1. Bibit Kopi</t>
  </si>
  <si>
    <t>2. bibit naungan (lamtoro)</t>
  </si>
  <si>
    <t>3. benih naungan sementara</t>
  </si>
  <si>
    <t>4. pancang (ajir)</t>
  </si>
  <si>
    <t>5 kompos</t>
  </si>
  <si>
    <t>6. parang</t>
  </si>
  <si>
    <t>7. cangkul</t>
  </si>
  <si>
    <t>8. sprayer</t>
  </si>
  <si>
    <t>Investasi</t>
  </si>
  <si>
    <t>B.</t>
  </si>
  <si>
    <t>Aktivitas yang dilakukan pada tahun pertama</t>
  </si>
  <si>
    <t>2. pemasangan pacang (ajir)</t>
  </si>
  <si>
    <t>3. pembuatan lubang tanaman kopi</t>
  </si>
  <si>
    <t>4. pembuatan lubang tanaman penaung</t>
  </si>
  <si>
    <t>5. penanaman naungan sementara</t>
  </si>
  <si>
    <t>6. penanaman naungan tetap</t>
  </si>
  <si>
    <t>1. pembabatan lahan</t>
  </si>
  <si>
    <t>7. pembersihan gulma menjelang tanam</t>
  </si>
  <si>
    <t>8. pengolahan tanaman penaung</t>
  </si>
  <si>
    <t>9. mengisi kompos pada lubang tanam</t>
  </si>
  <si>
    <t>10. tutup lubang tanam</t>
  </si>
  <si>
    <t>C.</t>
  </si>
  <si>
    <t>Pemeliharaan</t>
  </si>
  <si>
    <t>1. pengendalian gulma</t>
  </si>
  <si>
    <t>2. pemukiman</t>
  </si>
  <si>
    <t>3. pengendalian hama penyakit</t>
  </si>
  <si>
    <t>4. pemangkasan kopi</t>
  </si>
  <si>
    <t>5. panen</t>
  </si>
  <si>
    <t>6. biaya giling kopi</t>
  </si>
  <si>
    <t xml:space="preserve">D. </t>
  </si>
  <si>
    <t>Bahan yang harus disediakan</t>
  </si>
  <si>
    <t>1. pupuk NPK</t>
  </si>
  <si>
    <t>2. herbisida</t>
  </si>
  <si>
    <t>3. insektisida</t>
  </si>
  <si>
    <t>No.</t>
  </si>
  <si>
    <t>Item</t>
  </si>
  <si>
    <t>Tahun Analisa Proyek</t>
  </si>
  <si>
    <t>outflow</t>
  </si>
  <si>
    <t>Produksi kopi</t>
  </si>
  <si>
    <t>Inflow</t>
  </si>
  <si>
    <t>Total Inflow</t>
  </si>
  <si>
    <t>Total outflow</t>
  </si>
  <si>
    <t>Net benefit</t>
  </si>
  <si>
    <t>DF 10%</t>
  </si>
  <si>
    <t>Present value</t>
  </si>
  <si>
    <t>PV positif</t>
  </si>
  <si>
    <t>PV negatif</t>
  </si>
  <si>
    <t>NPV</t>
  </si>
  <si>
    <t>Net B/C</t>
  </si>
  <si>
    <t>Gross B/C</t>
  </si>
  <si>
    <t>Total outflow (DF 10%)</t>
  </si>
  <si>
    <t>Total inflow (DF 10%)</t>
  </si>
  <si>
    <t>IRR</t>
  </si>
  <si>
    <r>
      <t xml:space="preserve">Proyek ini dikatakan layak karena  nilai NPV </t>
    </r>
    <r>
      <rPr>
        <sz val="11"/>
        <color theme="1"/>
        <rFont val="Calibri"/>
        <family val="2"/>
      </rPr>
      <t>≥ 0 , Net B/C  ≥ 1, Gross B/C  ≥ 1, dan IRR  ≥ 10%</t>
    </r>
  </si>
  <si>
    <t>Switching Value</t>
  </si>
  <si>
    <t>Harga jual biji kopi 25.000 / kg</t>
  </si>
  <si>
    <t>Harga jual biji kopi 5.000/kg</t>
  </si>
  <si>
    <t>Proyek ini tidak layak di usahakan pada tingkat harga jual biji kopi = 5.000/kg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</si>
</sst>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0" fillId="4" borderId="1" xfId="0" applyFill="1" applyBorder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ill="1" applyBorder="1"/>
    <xf numFmtId="0" fontId="4" fillId="4" borderId="2" xfId="0" applyFont="1" applyFill="1" applyBorder="1"/>
    <xf numFmtId="0" fontId="0" fillId="0" borderId="0" xfId="0" applyFill="1" applyBorder="1"/>
    <xf numFmtId="0" fontId="0" fillId="0" borderId="0" xfId="0" applyBorder="1"/>
    <xf numFmtId="0" fontId="2" fillId="0" borderId="2" xfId="0" applyFont="1" applyBorder="1"/>
    <xf numFmtId="0" fontId="6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9" fontId="0" fillId="0" borderId="0" xfId="0" applyNumberFormat="1"/>
    <xf numFmtId="0" fontId="1" fillId="5" borderId="0" xfId="0" applyFont="1" applyFill="1" applyBorder="1"/>
    <xf numFmtId="9" fontId="1" fillId="5" borderId="0" xfId="0" applyNumberFormat="1" applyFont="1" applyFill="1"/>
    <xf numFmtId="0" fontId="1" fillId="6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1"/>
  <sheetViews>
    <sheetView tabSelected="1" topLeftCell="A63" zoomScale="87" zoomScaleNormal="87" workbookViewId="0">
      <selection activeCell="D78" sqref="D78"/>
    </sheetView>
  </sheetViews>
  <sheetFormatPr defaultRowHeight="15"/>
  <cols>
    <col min="1" max="1" width="5.5703125" customWidth="1"/>
    <col min="2" max="2" width="54.140625" customWidth="1"/>
    <col min="3" max="3" width="14.42578125" bestFit="1" customWidth="1"/>
    <col min="4" max="4" width="17.140625" customWidth="1"/>
    <col min="5" max="5" width="14.7109375" customWidth="1"/>
    <col min="6" max="6" width="18.140625" customWidth="1"/>
    <col min="7" max="7" width="17" customWidth="1"/>
    <col min="8" max="8" width="15" customWidth="1"/>
    <col min="9" max="9" width="16.42578125" customWidth="1"/>
    <col min="10" max="10" width="13.28515625" customWidth="1"/>
    <col min="11" max="11" width="12" customWidth="1"/>
    <col min="12" max="12" width="14.42578125" bestFit="1" customWidth="1"/>
    <col min="13" max="13" width="12.5703125" customWidth="1"/>
    <col min="14" max="14" width="12.85546875" customWidth="1"/>
    <col min="15" max="15" width="13.140625" customWidth="1"/>
    <col min="16" max="16" width="14.140625" customWidth="1"/>
    <col min="17" max="17" width="11.85546875" customWidth="1"/>
    <col min="18" max="18" width="12.42578125" customWidth="1"/>
    <col min="19" max="19" width="15.42578125" customWidth="1"/>
    <col min="20" max="20" width="14.28515625" customWidth="1"/>
    <col min="21" max="21" width="12.5703125" bestFit="1" customWidth="1"/>
  </cols>
  <sheetData>
    <row r="1" spans="1:21">
      <c r="A1" s="6" t="s">
        <v>35</v>
      </c>
      <c r="B1" s="6" t="s">
        <v>36</v>
      </c>
      <c r="C1" s="12" t="s">
        <v>37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"/>
    </row>
    <row r="2" spans="1:21">
      <c r="A2" s="3"/>
      <c r="B2" s="3"/>
      <c r="C2" s="2">
        <v>0</v>
      </c>
      <c r="D2" s="2">
        <v>1</v>
      </c>
      <c r="E2" s="2">
        <v>2</v>
      </c>
      <c r="F2" s="2">
        <v>3</v>
      </c>
      <c r="G2" s="2">
        <v>4</v>
      </c>
      <c r="H2" s="2">
        <v>5</v>
      </c>
      <c r="I2" s="2">
        <v>6</v>
      </c>
      <c r="J2" s="2">
        <v>7</v>
      </c>
      <c r="K2" s="2">
        <v>8</v>
      </c>
      <c r="L2" s="2">
        <v>9</v>
      </c>
      <c r="M2" s="2">
        <v>10</v>
      </c>
      <c r="N2" s="2">
        <v>11</v>
      </c>
      <c r="O2" s="2">
        <v>12</v>
      </c>
      <c r="P2" s="2">
        <v>13</v>
      </c>
      <c r="Q2" s="2">
        <v>14</v>
      </c>
      <c r="R2" s="2">
        <v>15</v>
      </c>
      <c r="S2" s="2">
        <v>16</v>
      </c>
      <c r="T2" s="21">
        <v>17</v>
      </c>
    </row>
    <row r="3" spans="1:21" ht="18.75">
      <c r="A3" s="3"/>
      <c r="B3" s="7" t="s">
        <v>40</v>
      </c>
      <c r="C3" s="3"/>
      <c r="D3" s="3"/>
      <c r="E3" s="3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ht="17.25" customHeight="1">
      <c r="A4" s="3"/>
      <c r="B4" s="5" t="s">
        <v>39</v>
      </c>
      <c r="C4" s="3">
        <v>0</v>
      </c>
      <c r="D4" s="3">
        <v>0</v>
      </c>
      <c r="E4" s="3">
        <v>0</v>
      </c>
      <c r="F4" s="11">
        <f>2000*10*30000</f>
        <v>600000000</v>
      </c>
      <c r="G4" s="11">
        <f t="shared" ref="G4:T4" si="0">2000*10*30000</f>
        <v>600000000</v>
      </c>
      <c r="H4" s="11">
        <f t="shared" si="0"/>
        <v>600000000</v>
      </c>
      <c r="I4" s="11">
        <f t="shared" si="0"/>
        <v>600000000</v>
      </c>
      <c r="J4" s="11">
        <f t="shared" si="0"/>
        <v>600000000</v>
      </c>
      <c r="K4" s="11">
        <f t="shared" si="0"/>
        <v>600000000</v>
      </c>
      <c r="L4" s="11">
        <f t="shared" si="0"/>
        <v>600000000</v>
      </c>
      <c r="M4" s="11">
        <f t="shared" si="0"/>
        <v>600000000</v>
      </c>
      <c r="N4" s="11">
        <f t="shared" si="0"/>
        <v>600000000</v>
      </c>
      <c r="O4" s="11">
        <f t="shared" si="0"/>
        <v>600000000</v>
      </c>
      <c r="P4" s="11">
        <f t="shared" si="0"/>
        <v>600000000</v>
      </c>
      <c r="Q4" s="11">
        <f t="shared" si="0"/>
        <v>600000000</v>
      </c>
      <c r="R4" s="11">
        <f t="shared" si="0"/>
        <v>600000000</v>
      </c>
      <c r="S4" s="11">
        <f t="shared" si="0"/>
        <v>600000000</v>
      </c>
      <c r="T4" s="11">
        <f t="shared" si="0"/>
        <v>600000000</v>
      </c>
    </row>
    <row r="5" spans="1:21" ht="17.25" customHeight="1">
      <c r="A5" s="3"/>
      <c r="B5" s="8" t="s">
        <v>41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>
        <f>SUM(F4:T4)</f>
        <v>9000000000</v>
      </c>
    </row>
    <row r="6" spans="1:21" ht="17.25" customHeight="1">
      <c r="A6" s="3"/>
      <c r="B6" s="19" t="s">
        <v>52</v>
      </c>
      <c r="C6" s="20">
        <v>0</v>
      </c>
      <c r="D6" s="20">
        <v>0</v>
      </c>
      <c r="E6" s="20">
        <v>0</v>
      </c>
      <c r="F6" s="20">
        <f>F4*F42</f>
        <v>450788880.54094654</v>
      </c>
      <c r="G6" s="20">
        <f t="shared" ref="G6:T6" si="1">G4*G42</f>
        <v>409808073.2190423</v>
      </c>
      <c r="H6" s="20">
        <f t="shared" si="1"/>
        <v>372552793.83549297</v>
      </c>
      <c r="I6" s="20">
        <f t="shared" si="1"/>
        <v>338684358.03226632</v>
      </c>
      <c r="J6" s="20">
        <f t="shared" si="1"/>
        <v>307894870.93842387</v>
      </c>
      <c r="K6" s="20">
        <f t="shared" si="1"/>
        <v>279904428.12583989</v>
      </c>
      <c r="L6" s="20">
        <f t="shared" si="1"/>
        <v>254458571.02349079</v>
      </c>
      <c r="M6" s="20">
        <f t="shared" si="1"/>
        <v>231325973.6577189</v>
      </c>
      <c r="N6" s="20">
        <f t="shared" si="1"/>
        <v>210296339.68883532</v>
      </c>
      <c r="O6" s="20">
        <f t="shared" si="1"/>
        <v>191178490.62621394</v>
      </c>
      <c r="P6" s="20">
        <f t="shared" si="1"/>
        <v>173798627.84201267</v>
      </c>
      <c r="Q6" s="20">
        <f t="shared" si="1"/>
        <v>157998752.58364785</v>
      </c>
      <c r="R6" s="20">
        <f t="shared" si="1"/>
        <v>143635229.62149805</v>
      </c>
      <c r="S6" s="20">
        <f t="shared" si="1"/>
        <v>130577481.47408912</v>
      </c>
      <c r="T6" s="20">
        <f t="shared" si="1"/>
        <v>118706801.34008102</v>
      </c>
      <c r="U6" s="20">
        <f>SUM(F6:T6)</f>
        <v>3771609672.5495996</v>
      </c>
    </row>
    <row r="7" spans="1:21" ht="18.75">
      <c r="A7" s="1"/>
      <c r="B7" s="7" t="s">
        <v>38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1" ht="18.75">
      <c r="A8" s="4" t="s">
        <v>0</v>
      </c>
      <c r="B8" s="4" t="s">
        <v>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1">
      <c r="A9" s="1"/>
      <c r="B9" s="1" t="s">
        <v>1</v>
      </c>
      <c r="C9" s="1">
        <f>1600*2000</f>
        <v>3200000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1">
      <c r="A10" s="1"/>
      <c r="B10" s="1" t="s">
        <v>2</v>
      </c>
      <c r="C10" s="1">
        <f>400*1500</f>
        <v>600000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1">
      <c r="A11" s="1"/>
      <c r="B11" s="1" t="s">
        <v>3</v>
      </c>
      <c r="C11" s="1">
        <f>40*17000</f>
        <v>680000</v>
      </c>
      <c r="D11" s="1"/>
      <c r="E11" s="1"/>
      <c r="F11" s="1">
        <v>68000</v>
      </c>
      <c r="G11" s="1"/>
      <c r="H11" s="1"/>
      <c r="I11" s="1">
        <v>68000</v>
      </c>
      <c r="J11" s="1"/>
      <c r="K11" s="1"/>
      <c r="L11" s="1">
        <v>68000</v>
      </c>
      <c r="M11" s="1"/>
      <c r="N11" s="1"/>
      <c r="O11" s="1">
        <v>68000</v>
      </c>
      <c r="P11" s="1"/>
      <c r="Q11" s="1"/>
      <c r="R11" s="1">
        <v>68000</v>
      </c>
      <c r="S11" s="1"/>
      <c r="T11" s="1"/>
    </row>
    <row r="12" spans="1:21">
      <c r="A12" s="1"/>
      <c r="B12" s="1" t="s">
        <v>4</v>
      </c>
      <c r="C12" s="1">
        <f>2000*250</f>
        <v>500000</v>
      </c>
      <c r="D12" s="1">
        <f t="shared" ref="D12:T12" si="2">2000*250</f>
        <v>500000</v>
      </c>
      <c r="E12" s="1">
        <f t="shared" si="2"/>
        <v>500000</v>
      </c>
      <c r="F12" s="1">
        <f t="shared" si="2"/>
        <v>500000</v>
      </c>
      <c r="G12" s="1">
        <f t="shared" si="2"/>
        <v>500000</v>
      </c>
      <c r="H12" s="1">
        <f t="shared" si="2"/>
        <v>500000</v>
      </c>
      <c r="I12" s="1">
        <f t="shared" si="2"/>
        <v>500000</v>
      </c>
      <c r="J12" s="1">
        <f t="shared" si="2"/>
        <v>500000</v>
      </c>
      <c r="K12" s="1">
        <f t="shared" si="2"/>
        <v>500000</v>
      </c>
      <c r="L12" s="1">
        <f t="shared" si="2"/>
        <v>500000</v>
      </c>
      <c r="M12" s="1">
        <f t="shared" si="2"/>
        <v>500000</v>
      </c>
      <c r="N12" s="1">
        <f t="shared" si="2"/>
        <v>500000</v>
      </c>
      <c r="O12" s="1">
        <f t="shared" si="2"/>
        <v>500000</v>
      </c>
      <c r="P12" s="1">
        <f t="shared" si="2"/>
        <v>500000</v>
      </c>
      <c r="Q12" s="1">
        <f t="shared" si="2"/>
        <v>500000</v>
      </c>
      <c r="R12" s="1">
        <f t="shared" si="2"/>
        <v>500000</v>
      </c>
      <c r="S12" s="1">
        <f t="shared" si="2"/>
        <v>500000</v>
      </c>
      <c r="T12" s="1">
        <f t="shared" si="2"/>
        <v>500000</v>
      </c>
    </row>
    <row r="13" spans="1:21">
      <c r="A13" s="1"/>
      <c r="B13" s="1" t="s">
        <v>5</v>
      </c>
      <c r="C13" s="1">
        <f>16000*500</f>
        <v>8000000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1">
      <c r="A14" s="1"/>
      <c r="B14" s="1" t="s">
        <v>6</v>
      </c>
      <c r="C14" s="1">
        <f>3*45000</f>
        <v>135000</v>
      </c>
      <c r="D14" s="1"/>
      <c r="E14" s="1">
        <f>3*45000</f>
        <v>135000</v>
      </c>
      <c r="F14" s="1"/>
      <c r="G14" s="1">
        <f>3*45000</f>
        <v>135000</v>
      </c>
      <c r="H14" s="1"/>
      <c r="I14" s="1">
        <f>3*45000</f>
        <v>135000</v>
      </c>
      <c r="J14" s="1"/>
      <c r="K14" s="1">
        <f>3*45000</f>
        <v>135000</v>
      </c>
      <c r="L14" s="1"/>
      <c r="M14" s="1">
        <f>3*45000</f>
        <v>135000</v>
      </c>
      <c r="N14" s="1"/>
      <c r="O14" s="1">
        <f>3*45000</f>
        <v>135000</v>
      </c>
      <c r="P14" s="1"/>
      <c r="Q14" s="1">
        <f>3*45000</f>
        <v>135000</v>
      </c>
      <c r="R14" s="1"/>
      <c r="S14" s="1">
        <f>3*45000</f>
        <v>135000</v>
      </c>
      <c r="T14" s="1"/>
    </row>
    <row r="15" spans="1:21">
      <c r="A15" s="1"/>
      <c r="B15" s="1" t="s">
        <v>7</v>
      </c>
      <c r="C15" s="1">
        <f>3*60000</f>
        <v>180000</v>
      </c>
      <c r="D15" s="1"/>
      <c r="E15" s="1">
        <f>3*60000</f>
        <v>180000</v>
      </c>
      <c r="F15" s="1"/>
      <c r="G15" s="1">
        <f>3*60000</f>
        <v>180000</v>
      </c>
      <c r="H15" s="1"/>
      <c r="I15" s="1">
        <f>3*60000</f>
        <v>180000</v>
      </c>
      <c r="J15" s="1"/>
      <c r="K15" s="1">
        <f>3*60000</f>
        <v>180000</v>
      </c>
      <c r="L15" s="1"/>
      <c r="M15" s="1">
        <f>3*60000</f>
        <v>180000</v>
      </c>
      <c r="N15" s="1"/>
      <c r="O15" s="1">
        <f>3*60000</f>
        <v>180000</v>
      </c>
      <c r="P15" s="1"/>
      <c r="Q15" s="1">
        <f>3*60000</f>
        <v>180000</v>
      </c>
      <c r="R15" s="1"/>
      <c r="S15" s="1">
        <f>3*60000</f>
        <v>180000</v>
      </c>
      <c r="T15" s="1"/>
    </row>
    <row r="16" spans="1:21">
      <c r="A16" s="1"/>
      <c r="B16" s="1" t="s">
        <v>8</v>
      </c>
      <c r="C16" s="1">
        <f>1*250000</f>
        <v>250000</v>
      </c>
      <c r="D16" s="1"/>
      <c r="E16" s="1"/>
      <c r="F16" s="1"/>
      <c r="G16" s="1"/>
      <c r="H16" s="1"/>
      <c r="I16" s="1"/>
      <c r="J16" s="1">
        <f>1*250000</f>
        <v>250000</v>
      </c>
      <c r="K16" s="1"/>
      <c r="L16" s="1"/>
      <c r="M16" s="1"/>
      <c r="N16" s="1"/>
      <c r="O16" s="1"/>
      <c r="P16" s="1"/>
      <c r="Q16" s="1">
        <f>1*250000</f>
        <v>250000</v>
      </c>
      <c r="R16" s="1"/>
      <c r="S16" s="1"/>
      <c r="T16" s="1"/>
    </row>
    <row r="17" spans="1:20" ht="18.75">
      <c r="A17" s="4" t="s">
        <v>10</v>
      </c>
      <c r="B17" s="4" t="s">
        <v>11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>
      <c r="A18" s="1"/>
      <c r="B18" s="1" t="s">
        <v>17</v>
      </c>
      <c r="C18" s="1">
        <f>8*35000</f>
        <v>280000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>
      <c r="A19" s="1"/>
      <c r="B19" s="1" t="s">
        <v>12</v>
      </c>
      <c r="C19" s="1">
        <f>2*35000</f>
        <v>70000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>
      <c r="A20" s="1"/>
      <c r="B20" s="1" t="s">
        <v>13</v>
      </c>
      <c r="C20" s="1">
        <f>20*35000</f>
        <v>700000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>
      <c r="A21" s="1"/>
      <c r="B21" s="1" t="s">
        <v>14</v>
      </c>
      <c r="C21" s="1">
        <f>2*35000</f>
        <v>70000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>
      <c r="A22" s="1"/>
      <c r="B22" s="1" t="s">
        <v>15</v>
      </c>
      <c r="C22" s="1">
        <f>2*35000</f>
        <v>70000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>
      <c r="A23" s="1"/>
      <c r="B23" s="1" t="s">
        <v>16</v>
      </c>
      <c r="C23" s="1">
        <f>4*35000</f>
        <v>140000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>
      <c r="A24" s="1"/>
      <c r="B24" s="1" t="s">
        <v>18</v>
      </c>
      <c r="C24" s="1">
        <f>4*35000</f>
        <v>140000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>
      <c r="A25" s="1"/>
      <c r="B25" s="1" t="s">
        <v>19</v>
      </c>
      <c r="C25" s="1">
        <f>2*35000</f>
        <v>70000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>
      <c r="A26" s="1"/>
      <c r="B26" s="1" t="s">
        <v>20</v>
      </c>
      <c r="C26" s="1">
        <f>2*35000</f>
        <v>70000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>
      <c r="A27" s="1"/>
      <c r="B27" s="1" t="s">
        <v>21</v>
      </c>
      <c r="C27" s="1">
        <f>6*35000</f>
        <v>210000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8.75">
      <c r="A28" s="4" t="s">
        <v>22</v>
      </c>
      <c r="B28" s="4" t="s">
        <v>23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>
      <c r="A29" s="1"/>
      <c r="B29" s="1" t="s">
        <v>24</v>
      </c>
      <c r="C29" s="1"/>
      <c r="D29" s="1">
        <f>27*10*35000</f>
        <v>9450000</v>
      </c>
      <c r="E29" s="1">
        <f>27*10*35000</f>
        <v>9450000</v>
      </c>
      <c r="F29" s="1">
        <f>37*10*35000</f>
        <v>12950000</v>
      </c>
      <c r="G29" s="1">
        <f t="shared" ref="G29:T29" si="3">37*10*35000</f>
        <v>12950000</v>
      </c>
      <c r="H29" s="1">
        <f t="shared" si="3"/>
        <v>12950000</v>
      </c>
      <c r="I29" s="1">
        <f t="shared" si="3"/>
        <v>12950000</v>
      </c>
      <c r="J29" s="1">
        <f t="shared" si="3"/>
        <v>12950000</v>
      </c>
      <c r="K29" s="1">
        <f t="shared" si="3"/>
        <v>12950000</v>
      </c>
      <c r="L29" s="1">
        <f t="shared" si="3"/>
        <v>12950000</v>
      </c>
      <c r="M29" s="1">
        <f t="shared" si="3"/>
        <v>12950000</v>
      </c>
      <c r="N29" s="1">
        <f t="shared" si="3"/>
        <v>12950000</v>
      </c>
      <c r="O29" s="1">
        <f t="shared" si="3"/>
        <v>12950000</v>
      </c>
      <c r="P29" s="1">
        <f t="shared" si="3"/>
        <v>12950000</v>
      </c>
      <c r="Q29" s="1">
        <f t="shared" si="3"/>
        <v>12950000</v>
      </c>
      <c r="R29" s="1">
        <f t="shared" si="3"/>
        <v>12950000</v>
      </c>
      <c r="S29" s="1">
        <f t="shared" si="3"/>
        <v>12950000</v>
      </c>
      <c r="T29" s="1">
        <f t="shared" si="3"/>
        <v>12950000</v>
      </c>
    </row>
    <row r="30" spans="1:20">
      <c r="A30" s="1"/>
      <c r="B30" s="1" t="s">
        <v>25</v>
      </c>
      <c r="C30" s="1"/>
      <c r="D30" s="1">
        <f>4*35000*10</f>
        <v>1400000</v>
      </c>
      <c r="E30" s="1">
        <f t="shared" ref="E30:T30" si="4">4*35000*10</f>
        <v>1400000</v>
      </c>
      <c r="F30" s="1">
        <f t="shared" si="4"/>
        <v>1400000</v>
      </c>
      <c r="G30" s="1">
        <f t="shared" si="4"/>
        <v>1400000</v>
      </c>
      <c r="H30" s="1">
        <f t="shared" si="4"/>
        <v>1400000</v>
      </c>
      <c r="I30" s="1">
        <f t="shared" si="4"/>
        <v>1400000</v>
      </c>
      <c r="J30" s="1">
        <f t="shared" si="4"/>
        <v>1400000</v>
      </c>
      <c r="K30" s="1">
        <f t="shared" si="4"/>
        <v>1400000</v>
      </c>
      <c r="L30" s="1">
        <f t="shared" si="4"/>
        <v>1400000</v>
      </c>
      <c r="M30" s="1">
        <f t="shared" si="4"/>
        <v>1400000</v>
      </c>
      <c r="N30" s="1">
        <f t="shared" si="4"/>
        <v>1400000</v>
      </c>
      <c r="O30" s="1">
        <f t="shared" si="4"/>
        <v>1400000</v>
      </c>
      <c r="P30" s="1">
        <f t="shared" si="4"/>
        <v>1400000</v>
      </c>
      <c r="Q30" s="1">
        <f t="shared" si="4"/>
        <v>1400000</v>
      </c>
      <c r="R30" s="1">
        <f t="shared" si="4"/>
        <v>1400000</v>
      </c>
      <c r="S30" s="1">
        <f t="shared" si="4"/>
        <v>1400000</v>
      </c>
      <c r="T30" s="1">
        <f t="shared" si="4"/>
        <v>1400000</v>
      </c>
    </row>
    <row r="31" spans="1:20">
      <c r="A31" s="1"/>
      <c r="B31" s="1" t="s">
        <v>26</v>
      </c>
      <c r="C31" s="1"/>
      <c r="D31" s="1">
        <f>2*4*35000</f>
        <v>280000</v>
      </c>
      <c r="E31" s="1">
        <f>2*4*35000</f>
        <v>280000</v>
      </c>
      <c r="F31" s="1">
        <f>4*10*35000</f>
        <v>1400000</v>
      </c>
      <c r="G31" s="1">
        <f t="shared" ref="G31:T31" si="5">4*10*35000</f>
        <v>1400000</v>
      </c>
      <c r="H31" s="1">
        <f t="shared" si="5"/>
        <v>1400000</v>
      </c>
      <c r="I31" s="1">
        <f t="shared" si="5"/>
        <v>1400000</v>
      </c>
      <c r="J31" s="1">
        <f t="shared" si="5"/>
        <v>1400000</v>
      </c>
      <c r="K31" s="1">
        <f t="shared" si="5"/>
        <v>1400000</v>
      </c>
      <c r="L31" s="1">
        <f t="shared" si="5"/>
        <v>1400000</v>
      </c>
      <c r="M31" s="1">
        <f t="shared" si="5"/>
        <v>1400000</v>
      </c>
      <c r="N31" s="1">
        <f t="shared" si="5"/>
        <v>1400000</v>
      </c>
      <c r="O31" s="1">
        <f t="shared" si="5"/>
        <v>1400000</v>
      </c>
      <c r="P31" s="1">
        <f t="shared" si="5"/>
        <v>1400000</v>
      </c>
      <c r="Q31" s="1">
        <f t="shared" si="5"/>
        <v>1400000</v>
      </c>
      <c r="R31" s="1">
        <f t="shared" si="5"/>
        <v>1400000</v>
      </c>
      <c r="S31" s="1">
        <f t="shared" si="5"/>
        <v>1400000</v>
      </c>
      <c r="T31" s="1">
        <f t="shared" si="5"/>
        <v>1400000</v>
      </c>
    </row>
    <row r="32" spans="1:20">
      <c r="A32" s="1"/>
      <c r="B32" s="1" t="s">
        <v>27</v>
      </c>
      <c r="C32" s="1"/>
      <c r="D32" s="1"/>
      <c r="E32" s="1"/>
      <c r="F32" s="1">
        <f>10*10*35000</f>
        <v>3500000</v>
      </c>
      <c r="G32" s="1">
        <f t="shared" ref="G32:T32" si="6">10*10*35000</f>
        <v>3500000</v>
      </c>
      <c r="H32" s="1">
        <f t="shared" si="6"/>
        <v>3500000</v>
      </c>
      <c r="I32" s="1">
        <f t="shared" si="6"/>
        <v>3500000</v>
      </c>
      <c r="J32" s="1">
        <f t="shared" si="6"/>
        <v>3500000</v>
      </c>
      <c r="K32" s="1">
        <f t="shared" si="6"/>
        <v>3500000</v>
      </c>
      <c r="L32" s="1">
        <f t="shared" si="6"/>
        <v>3500000</v>
      </c>
      <c r="M32" s="1">
        <f t="shared" si="6"/>
        <v>3500000</v>
      </c>
      <c r="N32" s="1">
        <f t="shared" si="6"/>
        <v>3500000</v>
      </c>
      <c r="O32" s="1">
        <f t="shared" si="6"/>
        <v>3500000</v>
      </c>
      <c r="P32" s="1">
        <f t="shared" si="6"/>
        <v>3500000</v>
      </c>
      <c r="Q32" s="1">
        <f t="shared" si="6"/>
        <v>3500000</v>
      </c>
      <c r="R32" s="1">
        <f t="shared" si="6"/>
        <v>3500000</v>
      </c>
      <c r="S32" s="1">
        <f t="shared" si="6"/>
        <v>3500000</v>
      </c>
      <c r="T32" s="1">
        <f t="shared" si="6"/>
        <v>3500000</v>
      </c>
    </row>
    <row r="33" spans="1:21">
      <c r="A33" s="1"/>
      <c r="B33" s="1" t="s">
        <v>28</v>
      </c>
      <c r="C33" s="1"/>
      <c r="D33" s="1"/>
      <c r="E33" s="1"/>
      <c r="F33" s="1">
        <f>200*10*35000</f>
        <v>70000000</v>
      </c>
      <c r="G33" s="1">
        <f t="shared" ref="G33:T33" si="7">200*10*35000</f>
        <v>70000000</v>
      </c>
      <c r="H33" s="1">
        <f t="shared" si="7"/>
        <v>70000000</v>
      </c>
      <c r="I33" s="1">
        <f t="shared" si="7"/>
        <v>70000000</v>
      </c>
      <c r="J33" s="1">
        <f t="shared" si="7"/>
        <v>70000000</v>
      </c>
      <c r="K33" s="1">
        <f t="shared" si="7"/>
        <v>70000000</v>
      </c>
      <c r="L33" s="1">
        <f t="shared" si="7"/>
        <v>70000000</v>
      </c>
      <c r="M33" s="1">
        <f t="shared" si="7"/>
        <v>70000000</v>
      </c>
      <c r="N33" s="1">
        <f t="shared" si="7"/>
        <v>70000000</v>
      </c>
      <c r="O33" s="1">
        <f t="shared" si="7"/>
        <v>70000000</v>
      </c>
      <c r="P33" s="1">
        <f t="shared" si="7"/>
        <v>70000000</v>
      </c>
      <c r="Q33" s="1">
        <f t="shared" si="7"/>
        <v>70000000</v>
      </c>
      <c r="R33" s="1">
        <f t="shared" si="7"/>
        <v>70000000</v>
      </c>
      <c r="S33" s="1">
        <f t="shared" si="7"/>
        <v>70000000</v>
      </c>
      <c r="T33" s="1">
        <f t="shared" si="7"/>
        <v>70000000</v>
      </c>
    </row>
    <row r="34" spans="1:21">
      <c r="A34" s="1"/>
      <c r="B34" s="1" t="s">
        <v>29</v>
      </c>
      <c r="C34" s="1"/>
      <c r="D34" s="1"/>
      <c r="E34" s="1"/>
      <c r="F34" s="1">
        <f>10000*2000*10</f>
        <v>200000000</v>
      </c>
      <c r="G34" s="1">
        <f t="shared" ref="G34:T34" si="8">10000*2000*10</f>
        <v>200000000</v>
      </c>
      <c r="H34" s="1">
        <f t="shared" si="8"/>
        <v>200000000</v>
      </c>
      <c r="I34" s="1">
        <f t="shared" si="8"/>
        <v>200000000</v>
      </c>
      <c r="J34" s="1">
        <f t="shared" si="8"/>
        <v>200000000</v>
      </c>
      <c r="K34" s="1">
        <f t="shared" si="8"/>
        <v>200000000</v>
      </c>
      <c r="L34" s="1">
        <f t="shared" si="8"/>
        <v>200000000</v>
      </c>
      <c r="M34" s="1">
        <f t="shared" si="8"/>
        <v>200000000</v>
      </c>
      <c r="N34" s="1">
        <f t="shared" si="8"/>
        <v>200000000</v>
      </c>
      <c r="O34" s="1">
        <f t="shared" si="8"/>
        <v>200000000</v>
      </c>
      <c r="P34" s="1">
        <f t="shared" si="8"/>
        <v>200000000</v>
      </c>
      <c r="Q34" s="1">
        <f t="shared" si="8"/>
        <v>200000000</v>
      </c>
      <c r="R34" s="1">
        <f t="shared" si="8"/>
        <v>200000000</v>
      </c>
      <c r="S34" s="1">
        <f t="shared" si="8"/>
        <v>200000000</v>
      </c>
      <c r="T34" s="1">
        <f t="shared" si="8"/>
        <v>200000000</v>
      </c>
    </row>
    <row r="35" spans="1:21" ht="18.75">
      <c r="A35" s="4" t="s">
        <v>30</v>
      </c>
      <c r="B35" s="4" t="s">
        <v>31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1">
      <c r="A36" s="1"/>
      <c r="B36" s="1" t="s">
        <v>32</v>
      </c>
      <c r="C36" s="1"/>
      <c r="D36" s="1">
        <f>512*10*4000</f>
        <v>20480000</v>
      </c>
      <c r="E36" s="1">
        <f t="shared" ref="E36:T36" si="9">512*10*4000</f>
        <v>20480000</v>
      </c>
      <c r="F36" s="1">
        <f t="shared" si="9"/>
        <v>20480000</v>
      </c>
      <c r="G36" s="1">
        <f t="shared" si="9"/>
        <v>20480000</v>
      </c>
      <c r="H36" s="1">
        <f t="shared" si="9"/>
        <v>20480000</v>
      </c>
      <c r="I36" s="1">
        <f t="shared" si="9"/>
        <v>20480000</v>
      </c>
      <c r="J36" s="1">
        <f t="shared" si="9"/>
        <v>20480000</v>
      </c>
      <c r="K36" s="1">
        <f t="shared" si="9"/>
        <v>20480000</v>
      </c>
      <c r="L36" s="1">
        <f t="shared" si="9"/>
        <v>20480000</v>
      </c>
      <c r="M36" s="1">
        <f t="shared" si="9"/>
        <v>20480000</v>
      </c>
      <c r="N36" s="1">
        <f t="shared" si="9"/>
        <v>20480000</v>
      </c>
      <c r="O36" s="1">
        <f t="shared" si="9"/>
        <v>20480000</v>
      </c>
      <c r="P36" s="1">
        <f t="shared" si="9"/>
        <v>20480000</v>
      </c>
      <c r="Q36" s="1">
        <f t="shared" si="9"/>
        <v>20480000</v>
      </c>
      <c r="R36" s="1">
        <f t="shared" si="9"/>
        <v>20480000</v>
      </c>
      <c r="S36" s="1">
        <f t="shared" si="9"/>
        <v>20480000</v>
      </c>
      <c r="T36" s="1">
        <f t="shared" si="9"/>
        <v>20480000</v>
      </c>
    </row>
    <row r="37" spans="1:21">
      <c r="A37" s="1"/>
      <c r="B37" s="1" t="s">
        <v>33</v>
      </c>
      <c r="C37" s="1"/>
      <c r="D37" s="1">
        <f>2*10*65000</f>
        <v>1300000</v>
      </c>
      <c r="E37" s="1">
        <f t="shared" ref="E37:T37" si="10">2*10*65000</f>
        <v>1300000</v>
      </c>
      <c r="F37" s="1">
        <f t="shared" si="10"/>
        <v>1300000</v>
      </c>
      <c r="G37" s="1">
        <f t="shared" si="10"/>
        <v>1300000</v>
      </c>
      <c r="H37" s="1">
        <f t="shared" si="10"/>
        <v>1300000</v>
      </c>
      <c r="I37" s="1">
        <f t="shared" si="10"/>
        <v>1300000</v>
      </c>
      <c r="J37" s="1">
        <f t="shared" si="10"/>
        <v>1300000</v>
      </c>
      <c r="K37" s="1">
        <f t="shared" si="10"/>
        <v>1300000</v>
      </c>
      <c r="L37" s="1">
        <f t="shared" si="10"/>
        <v>1300000</v>
      </c>
      <c r="M37" s="1">
        <f t="shared" si="10"/>
        <v>1300000</v>
      </c>
      <c r="N37" s="1">
        <f t="shared" si="10"/>
        <v>1300000</v>
      </c>
      <c r="O37" s="1">
        <f t="shared" si="10"/>
        <v>1300000</v>
      </c>
      <c r="P37" s="1">
        <f t="shared" si="10"/>
        <v>1300000</v>
      </c>
      <c r="Q37" s="1">
        <f t="shared" si="10"/>
        <v>1300000</v>
      </c>
      <c r="R37" s="1">
        <f t="shared" si="10"/>
        <v>1300000</v>
      </c>
      <c r="S37" s="1">
        <f t="shared" si="10"/>
        <v>1300000</v>
      </c>
      <c r="T37" s="1">
        <f t="shared" si="10"/>
        <v>1300000</v>
      </c>
    </row>
    <row r="38" spans="1:21">
      <c r="A38" s="1"/>
      <c r="B38" s="1" t="s">
        <v>34</v>
      </c>
      <c r="C38" s="1"/>
      <c r="D38" s="1"/>
      <c r="E38" s="1"/>
      <c r="F38" s="1"/>
      <c r="G38" s="1">
        <f>2*50000*10</f>
        <v>1000000</v>
      </c>
      <c r="H38" s="1">
        <f t="shared" ref="H38:T38" si="11">2*50000*10</f>
        <v>1000000</v>
      </c>
      <c r="I38" s="1">
        <f t="shared" si="11"/>
        <v>1000000</v>
      </c>
      <c r="J38" s="1">
        <f t="shared" si="11"/>
        <v>1000000</v>
      </c>
      <c r="K38" s="1">
        <f t="shared" si="11"/>
        <v>1000000</v>
      </c>
      <c r="L38" s="1">
        <f t="shared" si="11"/>
        <v>1000000</v>
      </c>
      <c r="M38" s="1">
        <f t="shared" si="11"/>
        <v>1000000</v>
      </c>
      <c r="N38" s="1">
        <f t="shared" si="11"/>
        <v>1000000</v>
      </c>
      <c r="O38" s="1">
        <f t="shared" si="11"/>
        <v>1000000</v>
      </c>
      <c r="P38" s="1">
        <f t="shared" si="11"/>
        <v>1000000</v>
      </c>
      <c r="Q38" s="1">
        <f t="shared" si="11"/>
        <v>1000000</v>
      </c>
      <c r="R38" s="1">
        <f t="shared" si="11"/>
        <v>1000000</v>
      </c>
      <c r="S38" s="1">
        <f t="shared" si="11"/>
        <v>1000000</v>
      </c>
      <c r="T38" s="1">
        <f t="shared" si="11"/>
        <v>1000000</v>
      </c>
    </row>
    <row r="39" spans="1:21" ht="18.75">
      <c r="A39" s="17"/>
      <c r="B39" s="14" t="s">
        <v>42</v>
      </c>
      <c r="C39" s="10">
        <f>SUM(C9:C27)</f>
        <v>15365000</v>
      </c>
      <c r="D39" s="10">
        <f>SUM(D12:D37)</f>
        <v>33410000</v>
      </c>
      <c r="E39" s="10">
        <f>SUM(E12:E37)</f>
        <v>33725000</v>
      </c>
      <c r="F39" s="10">
        <f>SUM(F11:F37)</f>
        <v>311598000</v>
      </c>
      <c r="G39" s="10">
        <f>SUM(G12:G38)</f>
        <v>312845000</v>
      </c>
      <c r="H39" s="10">
        <f>SUM(H12:H38)</f>
        <v>312530000</v>
      </c>
      <c r="I39" s="10">
        <f>SUM(I11:I38)</f>
        <v>312913000</v>
      </c>
      <c r="J39" s="10">
        <f t="shared" ref="J39:T39" si="12">SUM(J11:J38)</f>
        <v>312780000</v>
      </c>
      <c r="K39" s="10">
        <f t="shared" si="12"/>
        <v>312845000</v>
      </c>
      <c r="L39" s="10">
        <f t="shared" si="12"/>
        <v>312598000</v>
      </c>
      <c r="M39" s="10">
        <f t="shared" si="12"/>
        <v>312845000</v>
      </c>
      <c r="N39" s="10">
        <f t="shared" si="12"/>
        <v>312530000</v>
      </c>
      <c r="O39" s="10">
        <f t="shared" si="12"/>
        <v>312913000</v>
      </c>
      <c r="P39" s="10">
        <f t="shared" si="12"/>
        <v>312530000</v>
      </c>
      <c r="Q39" s="10">
        <f t="shared" si="12"/>
        <v>313095000</v>
      </c>
      <c r="R39" s="10">
        <f t="shared" si="12"/>
        <v>312598000</v>
      </c>
      <c r="S39" s="10">
        <f t="shared" si="12"/>
        <v>312845000</v>
      </c>
      <c r="T39" s="10">
        <f t="shared" si="12"/>
        <v>312530000</v>
      </c>
    </row>
    <row r="40" spans="1:21" ht="18.75">
      <c r="A40" s="4"/>
      <c r="B40" s="18" t="s">
        <v>51</v>
      </c>
      <c r="C40" s="13">
        <f>C39*C42</f>
        <v>15365000</v>
      </c>
      <c r="D40" s="13">
        <f t="shared" ref="D40:S40" si="13">D39*D42</f>
        <v>30372727.272727273</v>
      </c>
      <c r="E40" s="13">
        <f t="shared" si="13"/>
        <v>27871900.82644628</v>
      </c>
      <c r="F40" s="13">
        <f t="shared" si="13"/>
        <v>234108189.33132976</v>
      </c>
      <c r="G40" s="13">
        <f t="shared" si="13"/>
        <v>213677344.4436855</v>
      </c>
      <c r="H40" s="13">
        <f t="shared" si="13"/>
        <v>194056541.0956777</v>
      </c>
      <c r="I40" s="13">
        <f t="shared" si="13"/>
        <v>176631230.8749176</v>
      </c>
      <c r="J40" s="13">
        <f t="shared" si="13"/>
        <v>160505596.22020036</v>
      </c>
      <c r="K40" s="13">
        <f t="shared" si="13"/>
        <v>145944501.36171398</v>
      </c>
      <c r="L40" s="13">
        <f t="shared" si="13"/>
        <v>132572067.30800197</v>
      </c>
      <c r="M40" s="13">
        <f t="shared" si="13"/>
        <v>120615290.38158177</v>
      </c>
      <c r="N40" s="13">
        <f t="shared" si="13"/>
        <v>109539858.40491951</v>
      </c>
      <c r="O40" s="13">
        <f t="shared" si="13"/>
        <v>99703725.0622008</v>
      </c>
      <c r="P40" s="13">
        <f t="shared" si="13"/>
        <v>90528808.599107042</v>
      </c>
      <c r="Q40" s="13">
        <f t="shared" si="13"/>
        <v>82447699.066962034</v>
      </c>
      <c r="R40" s="13">
        <f t="shared" si="13"/>
        <v>74833475.84870173</v>
      </c>
      <c r="S40" s="13">
        <f t="shared" si="13"/>
        <v>68084186.986269012</v>
      </c>
      <c r="T40" s="1">
        <v>0</v>
      </c>
      <c r="U40" s="13">
        <f>SUM(C40:T40)</f>
        <v>1976858143.0844421</v>
      </c>
    </row>
    <row r="41" spans="1:21">
      <c r="A41" s="16"/>
      <c r="B41" s="15" t="s">
        <v>43</v>
      </c>
      <c r="C41" s="16">
        <f>C4-C39</f>
        <v>-15365000</v>
      </c>
      <c r="D41" s="16">
        <f t="shared" ref="D41:T41" si="14">D4-D39</f>
        <v>-33410000</v>
      </c>
      <c r="E41" s="16">
        <f t="shared" si="14"/>
        <v>-33725000</v>
      </c>
      <c r="F41" s="16">
        <f t="shared" si="14"/>
        <v>288402000</v>
      </c>
      <c r="G41" s="16">
        <f t="shared" si="14"/>
        <v>287155000</v>
      </c>
      <c r="H41" s="16">
        <f t="shared" si="14"/>
        <v>287470000</v>
      </c>
      <c r="I41" s="16">
        <f t="shared" si="14"/>
        <v>287087000</v>
      </c>
      <c r="J41" s="16">
        <f t="shared" si="14"/>
        <v>287220000</v>
      </c>
      <c r="K41" s="16">
        <f t="shared" si="14"/>
        <v>287155000</v>
      </c>
      <c r="L41" s="16">
        <f t="shared" si="14"/>
        <v>287402000</v>
      </c>
      <c r="M41" s="16">
        <f t="shared" si="14"/>
        <v>287155000</v>
      </c>
      <c r="N41" s="16">
        <f t="shared" si="14"/>
        <v>287470000</v>
      </c>
      <c r="O41" s="16">
        <f t="shared" si="14"/>
        <v>287087000</v>
      </c>
      <c r="P41" s="16">
        <f t="shared" si="14"/>
        <v>287470000</v>
      </c>
      <c r="Q41" s="16">
        <f t="shared" si="14"/>
        <v>286905000</v>
      </c>
      <c r="R41" s="16">
        <f t="shared" si="14"/>
        <v>287402000</v>
      </c>
      <c r="S41" s="16">
        <f t="shared" si="14"/>
        <v>287155000</v>
      </c>
      <c r="T41" s="16">
        <f t="shared" si="14"/>
        <v>287470000</v>
      </c>
    </row>
    <row r="42" spans="1:21">
      <c r="A42" s="16"/>
      <c r="B42" s="15" t="s">
        <v>44</v>
      </c>
      <c r="C42" s="16">
        <f>1/(1+0.1)^C2</f>
        <v>1</v>
      </c>
      <c r="D42" s="16">
        <f t="shared" ref="D42:T42" si="15">1/(1+0.1)^D2</f>
        <v>0.90909090909090906</v>
      </c>
      <c r="E42" s="16">
        <f t="shared" si="15"/>
        <v>0.82644628099173545</v>
      </c>
      <c r="F42" s="16">
        <f t="shared" si="15"/>
        <v>0.75131480090157754</v>
      </c>
      <c r="G42" s="16">
        <f t="shared" si="15"/>
        <v>0.68301345536507052</v>
      </c>
      <c r="H42" s="16">
        <f t="shared" si="15"/>
        <v>0.62092132305915493</v>
      </c>
      <c r="I42" s="16">
        <f t="shared" si="15"/>
        <v>0.56447393005377722</v>
      </c>
      <c r="J42" s="16">
        <f t="shared" si="15"/>
        <v>0.51315811823070645</v>
      </c>
      <c r="K42" s="16">
        <f t="shared" si="15"/>
        <v>0.46650738020973315</v>
      </c>
      <c r="L42" s="16">
        <f t="shared" si="15"/>
        <v>0.42409761837248466</v>
      </c>
      <c r="M42" s="16">
        <f t="shared" si="15"/>
        <v>0.38554328942953148</v>
      </c>
      <c r="N42" s="16">
        <f t="shared" si="15"/>
        <v>0.3504938994813922</v>
      </c>
      <c r="O42" s="16">
        <f t="shared" si="15"/>
        <v>0.31863081771035656</v>
      </c>
      <c r="P42" s="16">
        <f t="shared" si="15"/>
        <v>0.28966437973668779</v>
      </c>
      <c r="Q42" s="16">
        <f t="shared" si="15"/>
        <v>0.26333125430607973</v>
      </c>
      <c r="R42" s="16">
        <f t="shared" si="15"/>
        <v>0.23939204936916339</v>
      </c>
      <c r="S42" s="16">
        <f t="shared" si="15"/>
        <v>0.21762913579014853</v>
      </c>
      <c r="T42" s="16">
        <f t="shared" si="15"/>
        <v>0.19784466890013502</v>
      </c>
    </row>
    <row r="43" spans="1:21">
      <c r="A43" s="16"/>
      <c r="B43" s="15" t="s">
        <v>45</v>
      </c>
      <c r="C43" s="16">
        <f>C41*C42</f>
        <v>-15365000</v>
      </c>
      <c r="D43" s="16">
        <f t="shared" ref="D43:T43" si="16">D41*D42</f>
        <v>-30372727.272727273</v>
      </c>
      <c r="E43" s="16">
        <f t="shared" si="16"/>
        <v>-27871900.82644628</v>
      </c>
      <c r="F43" s="16">
        <f t="shared" si="16"/>
        <v>216680691.20961678</v>
      </c>
      <c r="G43" s="16">
        <f t="shared" si="16"/>
        <v>196130728.77535683</v>
      </c>
      <c r="H43" s="16">
        <f t="shared" si="16"/>
        <v>178496252.73981526</v>
      </c>
      <c r="I43" s="16">
        <f t="shared" si="16"/>
        <v>162053127.15734875</v>
      </c>
      <c r="J43" s="16">
        <f t="shared" si="16"/>
        <v>147389274.71822351</v>
      </c>
      <c r="K43" s="16">
        <f t="shared" si="16"/>
        <v>133959926.76412593</v>
      </c>
      <c r="L43" s="16">
        <f t="shared" si="16"/>
        <v>121886503.71548884</v>
      </c>
      <c r="M43" s="16">
        <f t="shared" si="16"/>
        <v>110710683.27613711</v>
      </c>
      <c r="N43" s="16">
        <f t="shared" si="16"/>
        <v>100756481.28391582</v>
      </c>
      <c r="O43" s="16">
        <f t="shared" si="16"/>
        <v>91474765.564013138</v>
      </c>
      <c r="P43" s="16">
        <f t="shared" si="16"/>
        <v>83269819.242905647</v>
      </c>
      <c r="Q43" s="16">
        <f t="shared" si="16"/>
        <v>75551053.516685799</v>
      </c>
      <c r="R43" s="16">
        <f t="shared" si="16"/>
        <v>68801753.772796303</v>
      </c>
      <c r="S43" s="16">
        <f t="shared" si="16"/>
        <v>62493294.487820104</v>
      </c>
      <c r="T43" s="16">
        <f t="shared" si="16"/>
        <v>56874406.968721814</v>
      </c>
    </row>
    <row r="44" spans="1:21">
      <c r="A44" s="16"/>
      <c r="B44" s="15" t="s">
        <v>46</v>
      </c>
      <c r="C44" s="16">
        <f>SUM(F43:S43)</f>
        <v>1749654356.2242498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21">
      <c r="A45" s="16"/>
      <c r="B45" s="15" t="s">
        <v>47</v>
      </c>
      <c r="C45" s="16">
        <f>SUM(C43:E43)</f>
        <v>-73609628.099173546</v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spans="1:21">
      <c r="A46" s="16"/>
      <c r="B46" s="23" t="s">
        <v>48</v>
      </c>
      <c r="C46" s="23">
        <f>SUM(C41:T41)</f>
        <v>4227505000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21">
      <c r="A47" s="16"/>
      <c r="B47" s="23" t="s">
        <v>49</v>
      </c>
      <c r="C47" s="23">
        <f>C44/C45</f>
        <v>-23.769368238988484</v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21">
      <c r="A48" s="16"/>
      <c r="B48" s="23" t="s">
        <v>50</v>
      </c>
      <c r="C48" s="23">
        <f>U6/U40</f>
        <v>1.9078807883831521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spans="2:21">
      <c r="B49" s="23" t="s">
        <v>53</v>
      </c>
      <c r="C49" s="24">
        <f>IRR(C43:T43)</f>
        <v>1.1934730540246505</v>
      </c>
    </row>
    <row r="50" spans="2:21">
      <c r="B50" t="s">
        <v>54</v>
      </c>
    </row>
    <row r="53" spans="2:21">
      <c r="B53" t="s">
        <v>55</v>
      </c>
    </row>
    <row r="54" spans="2:21">
      <c r="B54" t="s">
        <v>56</v>
      </c>
    </row>
    <row r="55" spans="2:21">
      <c r="B55" s="1" t="s">
        <v>40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2:21">
      <c r="B56" s="1" t="s">
        <v>39</v>
      </c>
      <c r="C56" s="1">
        <v>0</v>
      </c>
      <c r="D56" s="1">
        <v>0</v>
      </c>
      <c r="E56" s="1">
        <v>0</v>
      </c>
      <c r="F56" s="1">
        <f>2000*10*25000</f>
        <v>500000000</v>
      </c>
      <c r="G56" s="1">
        <f t="shared" ref="G56:T56" si="17">2000*10*25000</f>
        <v>500000000</v>
      </c>
      <c r="H56" s="1">
        <f t="shared" si="17"/>
        <v>500000000</v>
      </c>
      <c r="I56" s="1">
        <f t="shared" si="17"/>
        <v>500000000</v>
      </c>
      <c r="J56" s="1">
        <f t="shared" si="17"/>
        <v>500000000</v>
      </c>
      <c r="K56" s="1">
        <f t="shared" si="17"/>
        <v>500000000</v>
      </c>
      <c r="L56" s="1">
        <f t="shared" si="17"/>
        <v>500000000</v>
      </c>
      <c r="M56" s="1">
        <f t="shared" si="17"/>
        <v>500000000</v>
      </c>
      <c r="N56" s="1">
        <f t="shared" si="17"/>
        <v>500000000</v>
      </c>
      <c r="O56" s="1">
        <f t="shared" si="17"/>
        <v>500000000</v>
      </c>
      <c r="P56" s="1">
        <f t="shared" si="17"/>
        <v>500000000</v>
      </c>
      <c r="Q56" s="1">
        <f t="shared" si="17"/>
        <v>500000000</v>
      </c>
      <c r="R56" s="1">
        <f t="shared" si="17"/>
        <v>500000000</v>
      </c>
      <c r="S56" s="1">
        <f t="shared" si="17"/>
        <v>500000000</v>
      </c>
      <c r="T56" s="1">
        <f t="shared" si="17"/>
        <v>500000000</v>
      </c>
      <c r="U56">
        <f>SUM(C56:T56)</f>
        <v>7500000000</v>
      </c>
    </row>
    <row r="57" spans="2:21">
      <c r="B57" s="15" t="s">
        <v>52</v>
      </c>
      <c r="C57" s="16">
        <f>C56*C42</f>
        <v>0</v>
      </c>
      <c r="D57" s="16">
        <f t="shared" ref="D57:T57" si="18">D56*D42</f>
        <v>0</v>
      </c>
      <c r="E57" s="16">
        <f t="shared" si="18"/>
        <v>0</v>
      </c>
      <c r="F57" s="16">
        <f t="shared" si="18"/>
        <v>375657400.4507888</v>
      </c>
      <c r="G57" s="16">
        <f t="shared" si="18"/>
        <v>341506727.68253523</v>
      </c>
      <c r="H57" s="16">
        <f t="shared" si="18"/>
        <v>310460661.52957749</v>
      </c>
      <c r="I57" s="16">
        <f t="shared" si="18"/>
        <v>282236965.02688861</v>
      </c>
      <c r="J57" s="16">
        <f t="shared" si="18"/>
        <v>256579059.11535323</v>
      </c>
      <c r="K57" s="16">
        <f t="shared" si="18"/>
        <v>233253690.10486656</v>
      </c>
      <c r="L57" s="16">
        <f t="shared" si="18"/>
        <v>212048809.18624234</v>
      </c>
      <c r="M57" s="16">
        <f t="shared" si="18"/>
        <v>192771644.71476573</v>
      </c>
      <c r="N57" s="16">
        <f t="shared" si="18"/>
        <v>175246949.7406961</v>
      </c>
      <c r="O57" s="16">
        <f t="shared" si="18"/>
        <v>159315408.85517827</v>
      </c>
      <c r="P57" s="16">
        <f t="shared" si="18"/>
        <v>144832189.86834389</v>
      </c>
      <c r="Q57" s="16">
        <f t="shared" si="18"/>
        <v>131665627.15303987</v>
      </c>
      <c r="R57" s="16">
        <f t="shared" si="18"/>
        <v>119696024.6845817</v>
      </c>
      <c r="S57" s="16">
        <f t="shared" si="18"/>
        <v>108814567.89507426</v>
      </c>
      <c r="T57" s="16">
        <f t="shared" si="18"/>
        <v>98922334.450067505</v>
      </c>
      <c r="U57" s="15">
        <f>SUM(C57:T57)</f>
        <v>3143008060.4579997</v>
      </c>
    </row>
    <row r="58" spans="2:21">
      <c r="B58" s="15" t="s">
        <v>43</v>
      </c>
      <c r="C58">
        <f>C56-C39</f>
        <v>-15365000</v>
      </c>
      <c r="D58">
        <f>D56-D39</f>
        <v>-33410000</v>
      </c>
      <c r="E58">
        <f>E56-E39</f>
        <v>-33725000</v>
      </c>
      <c r="F58">
        <f>F56-F39</f>
        <v>188402000</v>
      </c>
      <c r="G58">
        <f>G56-G39</f>
        <v>187155000</v>
      </c>
      <c r="H58">
        <f>H56-H39</f>
        <v>187470000</v>
      </c>
      <c r="I58">
        <f>I56-I39</f>
        <v>187087000</v>
      </c>
      <c r="J58">
        <f>J56-J39</f>
        <v>187220000</v>
      </c>
      <c r="K58">
        <f>K56-K39</f>
        <v>187155000</v>
      </c>
      <c r="L58">
        <f>L56-L39</f>
        <v>187402000</v>
      </c>
      <c r="M58">
        <f>M56-M39</f>
        <v>187155000</v>
      </c>
      <c r="N58">
        <f>N56-N39</f>
        <v>187470000</v>
      </c>
      <c r="O58">
        <f>O56-O39</f>
        <v>187087000</v>
      </c>
      <c r="P58">
        <f>P56-P39</f>
        <v>187470000</v>
      </c>
      <c r="Q58">
        <f>Q56-Q39</f>
        <v>186905000</v>
      </c>
      <c r="R58">
        <f>R56-R39</f>
        <v>187402000</v>
      </c>
      <c r="S58">
        <f>S56-S39</f>
        <v>187155000</v>
      </c>
      <c r="T58">
        <f>T56-T39</f>
        <v>187470000</v>
      </c>
    </row>
    <row r="59" spans="2:21">
      <c r="B59" s="15" t="s">
        <v>45</v>
      </c>
      <c r="C59">
        <f>C58*C42</f>
        <v>-15365000</v>
      </c>
      <c r="D59">
        <f>D58*D42</f>
        <v>-30372727.272727273</v>
      </c>
      <c r="E59">
        <f>E58*E42</f>
        <v>-27871900.82644628</v>
      </c>
      <c r="F59">
        <f>F58*F42</f>
        <v>141549211.119459</v>
      </c>
      <c r="G59">
        <f>G58*G42</f>
        <v>127829383.23884977</v>
      </c>
      <c r="H59">
        <f>H58*H42</f>
        <v>116404120.43389978</v>
      </c>
      <c r="I59">
        <f>I58*I42</f>
        <v>105605734.15197101</v>
      </c>
      <c r="J59">
        <f>J58*J42</f>
        <v>96073462.895152867</v>
      </c>
      <c r="K59">
        <f>K58*K42</f>
        <v>87309188.743152604</v>
      </c>
      <c r="L59">
        <f>L58*L42</f>
        <v>79476741.878240377</v>
      </c>
      <c r="M59">
        <f>M58*M42</f>
        <v>72156354.333183959</v>
      </c>
      <c r="N59">
        <f>N58*N42</f>
        <v>65707091.335776597</v>
      </c>
      <c r="O59">
        <f>O58*O42</f>
        <v>59611683.792977475</v>
      </c>
      <c r="P59">
        <f>P58*P42</f>
        <v>54303381.269236863</v>
      </c>
      <c r="Q59">
        <f>Q58*Q42</f>
        <v>49217928.086077832</v>
      </c>
      <c r="R59">
        <f>R58*R42</f>
        <v>44862548.835879959</v>
      </c>
      <c r="S59">
        <f>S58*S42</f>
        <v>40730380.908805251</v>
      </c>
      <c r="T59">
        <f>T58*T42</f>
        <v>37089940.078708313</v>
      </c>
    </row>
    <row r="60" spans="2:21">
      <c r="B60" s="15" t="s">
        <v>46</v>
      </c>
      <c r="C60">
        <f>SUM(F59:T59)</f>
        <v>1177927151.1013715</v>
      </c>
    </row>
    <row r="61" spans="2:21">
      <c r="B61" s="15" t="s">
        <v>47</v>
      </c>
      <c r="C61">
        <f>SUM(C59:E59)</f>
        <v>-73609628.099173546</v>
      </c>
    </row>
    <row r="62" spans="2:21">
      <c r="B62" s="23" t="s">
        <v>48</v>
      </c>
      <c r="C62">
        <f>U56/U40</f>
        <v>3.793898933131306</v>
      </c>
    </row>
    <row r="63" spans="2:21">
      <c r="B63" s="23" t="s">
        <v>49</v>
      </c>
      <c r="C63">
        <f>C60/C61</f>
        <v>-16.002351615122436</v>
      </c>
    </row>
    <row r="64" spans="2:21">
      <c r="B64" s="23" t="s">
        <v>50</v>
      </c>
      <c r="C64">
        <f>U57/U40</f>
        <v>1.5899006569859602</v>
      </c>
    </row>
    <row r="65" spans="2:21">
      <c r="B65" s="23" t="s">
        <v>53</v>
      </c>
      <c r="C65" s="22">
        <f>IRR(C59:T59)</f>
        <v>0.90593518229830772</v>
      </c>
    </row>
    <row r="67" spans="2:21">
      <c r="B67" s="25" t="s">
        <v>57</v>
      </c>
    </row>
    <row r="68" spans="2:21">
      <c r="B68" s="1" t="s">
        <v>40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2:21">
      <c r="B69" s="1" t="s">
        <v>39</v>
      </c>
      <c r="C69" s="1">
        <v>0</v>
      </c>
      <c r="D69" s="1">
        <v>0</v>
      </c>
      <c r="E69" s="1">
        <v>0</v>
      </c>
      <c r="F69" s="1">
        <f>2000*10*5000</f>
        <v>100000000</v>
      </c>
      <c r="G69" s="1">
        <f t="shared" ref="G69:T69" si="19">2000*10*5000</f>
        <v>100000000</v>
      </c>
      <c r="H69" s="1">
        <f t="shared" si="19"/>
        <v>100000000</v>
      </c>
      <c r="I69" s="1">
        <f t="shared" si="19"/>
        <v>100000000</v>
      </c>
      <c r="J69" s="1">
        <f t="shared" si="19"/>
        <v>100000000</v>
      </c>
      <c r="K69" s="1">
        <f t="shared" si="19"/>
        <v>100000000</v>
      </c>
      <c r="L69" s="1">
        <f t="shared" si="19"/>
        <v>100000000</v>
      </c>
      <c r="M69" s="1">
        <f t="shared" si="19"/>
        <v>100000000</v>
      </c>
      <c r="N69" s="1">
        <f t="shared" si="19"/>
        <v>100000000</v>
      </c>
      <c r="O69" s="1">
        <f t="shared" si="19"/>
        <v>100000000</v>
      </c>
      <c r="P69" s="1">
        <f t="shared" si="19"/>
        <v>100000000</v>
      </c>
      <c r="Q69" s="1">
        <f t="shared" si="19"/>
        <v>100000000</v>
      </c>
      <c r="R69" s="1">
        <f t="shared" si="19"/>
        <v>100000000</v>
      </c>
      <c r="S69" s="1">
        <f t="shared" si="19"/>
        <v>100000000</v>
      </c>
      <c r="T69" s="1">
        <f t="shared" si="19"/>
        <v>100000000</v>
      </c>
      <c r="U69">
        <f>SUM(C69:T69)</f>
        <v>1500000000</v>
      </c>
    </row>
    <row r="70" spans="2:21">
      <c r="B70" s="15" t="s">
        <v>52</v>
      </c>
      <c r="C70" s="16">
        <f>C69*C55</f>
        <v>0</v>
      </c>
      <c r="D70" s="16">
        <f t="shared" ref="D70" si="20">D69*D55</f>
        <v>0</v>
      </c>
      <c r="E70" s="16">
        <f t="shared" ref="E70" si="21">E69*E55</f>
        <v>0</v>
      </c>
      <c r="F70" s="16">
        <f>F69*F42</f>
        <v>75131480.090157747</v>
      </c>
      <c r="G70" s="16">
        <f t="shared" ref="G70:T70" si="22">G69*G42</f>
        <v>68301345.536507055</v>
      </c>
      <c r="H70" s="16">
        <f t="shared" si="22"/>
        <v>62092132.30591549</v>
      </c>
      <c r="I70" s="16">
        <f t="shared" si="22"/>
        <v>56447393.005377725</v>
      </c>
      <c r="J70" s="16">
        <f t="shared" si="22"/>
        <v>51315811.823070645</v>
      </c>
      <c r="K70" s="16">
        <f t="shared" si="22"/>
        <v>46650738.020973317</v>
      </c>
      <c r="L70" s="16">
        <f t="shared" si="22"/>
        <v>42409761.837248467</v>
      </c>
      <c r="M70" s="16">
        <f t="shared" si="22"/>
        <v>38554328.942953147</v>
      </c>
      <c r="N70" s="16">
        <f t="shared" si="22"/>
        <v>35049389.94813922</v>
      </c>
      <c r="O70" s="16">
        <f t="shared" si="22"/>
        <v>31863081.771035656</v>
      </c>
      <c r="P70" s="16">
        <f t="shared" si="22"/>
        <v>28966437.97366878</v>
      </c>
      <c r="Q70" s="16">
        <f t="shared" si="22"/>
        <v>26333125.430607975</v>
      </c>
      <c r="R70" s="16">
        <f t="shared" si="22"/>
        <v>23939204.93691634</v>
      </c>
      <c r="S70" s="16">
        <f t="shared" si="22"/>
        <v>21762913.579014853</v>
      </c>
      <c r="T70" s="16">
        <f t="shared" si="22"/>
        <v>19784466.890013501</v>
      </c>
      <c r="U70" s="15">
        <f>SUM(C70:T70)</f>
        <v>628601612.09159994</v>
      </c>
    </row>
    <row r="71" spans="2:21">
      <c r="B71" s="15" t="s">
        <v>43</v>
      </c>
      <c r="C71">
        <f>C70-C40</f>
        <v>-15365000</v>
      </c>
      <c r="D71">
        <f t="shared" ref="D71:E71" si="23">D70-D40</f>
        <v>-30372727.272727273</v>
      </c>
      <c r="E71">
        <f t="shared" si="23"/>
        <v>-27871900.82644628</v>
      </c>
      <c r="F71">
        <f>F70-F40</f>
        <v>-158976709.24117202</v>
      </c>
      <c r="G71">
        <f t="shared" ref="G71:T71" si="24">G70-G40</f>
        <v>-145375998.90717846</v>
      </c>
      <c r="H71">
        <f t="shared" si="24"/>
        <v>-131964408.78976221</v>
      </c>
      <c r="I71">
        <f t="shared" si="24"/>
        <v>-120183837.86953987</v>
      </c>
      <c r="J71">
        <f t="shared" si="24"/>
        <v>-109189784.39712971</v>
      </c>
      <c r="K71">
        <f t="shared" si="24"/>
        <v>-99293763.340740651</v>
      </c>
      <c r="L71">
        <f t="shared" si="24"/>
        <v>-90162305.470753491</v>
      </c>
      <c r="M71">
        <f t="shared" si="24"/>
        <v>-82060961.438628614</v>
      </c>
      <c r="N71">
        <f t="shared" si="24"/>
        <v>-74490468.456780285</v>
      </c>
      <c r="O71">
        <f t="shared" si="24"/>
        <v>-67840643.291165143</v>
      </c>
      <c r="P71">
        <f t="shared" si="24"/>
        <v>-61562370.625438258</v>
      </c>
      <c r="Q71">
        <f t="shared" si="24"/>
        <v>-56114573.636354059</v>
      </c>
      <c r="R71">
        <f t="shared" si="24"/>
        <v>-50894270.911785394</v>
      </c>
      <c r="S71">
        <f t="shared" si="24"/>
        <v>-46321273.407254159</v>
      </c>
      <c r="T71">
        <f t="shared" si="24"/>
        <v>19784466.890013501</v>
      </c>
    </row>
    <row r="72" spans="2:21">
      <c r="B72" s="15" t="s">
        <v>45</v>
      </c>
      <c r="C72">
        <f>C71*C42</f>
        <v>-15365000</v>
      </c>
      <c r="D72">
        <f t="shared" ref="D72:T72" si="25">D71*D42</f>
        <v>-27611570.247933883</v>
      </c>
      <c r="E72">
        <f t="shared" si="25"/>
        <v>-23034628.782187007</v>
      </c>
      <c r="F72">
        <f t="shared" si="25"/>
        <v>-119441554.65151913</v>
      </c>
      <c r="G72">
        <f t="shared" si="25"/>
        <v>-99293763.340740681</v>
      </c>
      <c r="H72">
        <f t="shared" si="25"/>
        <v>-81939515.302458331</v>
      </c>
      <c r="I72">
        <f t="shared" si="25"/>
        <v>-67840643.291165158</v>
      </c>
      <c r="J72">
        <f t="shared" si="25"/>
        <v>-56031624.291247636</v>
      </c>
      <c r="K72">
        <f t="shared" si="25"/>
        <v>-46321273.407254159</v>
      </c>
      <c r="L72">
        <f t="shared" si="25"/>
        <v>-38237619.017118998</v>
      </c>
      <c r="M72">
        <f t="shared" si="25"/>
        <v>-31638053.006798815</v>
      </c>
      <c r="N72">
        <f t="shared" si="25"/>
        <v>-26108454.763612565</v>
      </c>
      <c r="O72">
        <f t="shared" si="25"/>
        <v>-21616119.645860564</v>
      </c>
      <c r="P72">
        <f t="shared" si="25"/>
        <v>-17832425.902337663</v>
      </c>
      <c r="Q72">
        <f t="shared" si="25"/>
        <v>-14776721.060511988</v>
      </c>
      <c r="R72">
        <f t="shared" si="25"/>
        <v>-12183683.814721705</v>
      </c>
      <c r="S72">
        <f t="shared" si="25"/>
        <v>-10080858.700319912</v>
      </c>
      <c r="T72">
        <f t="shared" si="25"/>
        <v>3914251.3012204054</v>
      </c>
    </row>
    <row r="73" spans="2:21">
      <c r="B73" s="15" t="s">
        <v>46</v>
      </c>
      <c r="C73">
        <f>SUM(T72)</f>
        <v>3914251.3012204054</v>
      </c>
    </row>
    <row r="74" spans="2:21">
      <c r="B74" s="15" t="s">
        <v>47</v>
      </c>
      <c r="C74">
        <f>SUM(C72:S72)</f>
        <v>-709353509.22578824</v>
      </c>
    </row>
    <row r="75" spans="2:21">
      <c r="B75" s="23" t="s">
        <v>48</v>
      </c>
      <c r="C75">
        <f>U69/U40</f>
        <v>0.75877978662626122</v>
      </c>
    </row>
    <row r="76" spans="2:21">
      <c r="B76" s="23" t="s">
        <v>49</v>
      </c>
      <c r="C76">
        <f>C73/C74</f>
        <v>-5.5180544683461818E-3</v>
      </c>
    </row>
    <row r="77" spans="2:21">
      <c r="B77" s="23" t="s">
        <v>50</v>
      </c>
      <c r="C77">
        <f>U70/U40</f>
        <v>0.317980131397192</v>
      </c>
    </row>
    <row r="78" spans="2:21">
      <c r="B78" s="23" t="s">
        <v>53</v>
      </c>
      <c r="C78" s="22">
        <v>0</v>
      </c>
    </row>
    <row r="81" spans="2:2">
      <c r="B81" s="23" t="s">
        <v>58</v>
      </c>
    </row>
  </sheetData>
  <mergeCells count="1">
    <mergeCell ref="C1:S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HPMINI</dc:creator>
  <cp:lastModifiedBy>HPMINI</cp:lastModifiedBy>
  <dcterms:created xsi:type="dcterms:W3CDTF">2012-10-15T08:30:48Z</dcterms:created>
  <dcterms:modified xsi:type="dcterms:W3CDTF">2012-10-16T05:35:33Z</dcterms:modified>
</cp:coreProperties>
</file>